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ualisation" sheetId="1" state="visible" r:id="rId1"/>
  </sheets>
  <definedNames>
    <definedName name="IndiceActuel">Actualisation!$E$8</definedName>
    <definedName name="IndicePrecedent">Actualisation!$E$9</definedName>
    <definedName name="SurfaceLouee">Actualisation!$E$27</definedName>
    <definedName name="FermageActualise">Actualisation!$L$27</definedName>
    <definedName name="AvisTFPNB">Actualisation!$E$30</definedName>
    <definedName name="AvisChambre">Actualisation!$E$31</definedName>
    <definedName name="AvisDegrevement">Actualisation!$E$32</definedName>
    <definedName name="SurfaceAvis">Actualisation!$E$33</definedName>
    <definedName name="TauxDegrevement">Actualisation!$E$34</definedName>
    <definedName name="TauxTFPNB">Actualisation!$E$35</definedName>
    <definedName name="FraisTFPNB">Actualisation!$E$36</definedName>
    <definedName name="TauxChambre">Actualisation!$E$37</definedName>
    <definedName name="FraisChambre">Actualisation!$E$38</definedName>
    <definedName name="PartBail">Actualisation!$E$40</definedName>
    <definedName name="TFPNBBail">Actualisation!$E$41</definedName>
    <definedName name="PartTFPNB">Actualisation!$E$42</definedName>
    <definedName name="Participations">Actualisation!$E$47</definedName>
    <definedName name="TotalAPayer">Actualisation!$E$50</definedName>
    <definedName name="_xlnm.Print_Area" localSheetId="0">'Actualisation'!$A$1:$P$51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00000"/>
    <numFmt numFmtId="166" formatCode="+#,##0.00;-#,##0.00;0.00"/>
    <numFmt numFmtId="167" formatCode="+0.00%;-0.00%;0.00%"/>
    <numFmt numFmtId="168" formatCode="#,##0.00;-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7C4800"/>
      <sz val="10"/>
    </font>
    <font>
      <name val="Arial"/>
      <color rgb="00404040"/>
      <sz val="10"/>
    </font>
    <font>
      <name val="Arial"/>
      <color rgb="00404040"/>
      <sz val="9"/>
    </font>
    <font>
      <name val="Arial"/>
      <b val="1"/>
      <color rgb="001F4E3D"/>
      <sz val="11"/>
    </font>
    <font>
      <name val="Arial"/>
      <color rgb="001F4E3D"/>
      <sz val="10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color rgb="00C00000"/>
      <sz val="10"/>
    </font>
    <font>
      <name val="Arial"/>
      <b val="1"/>
      <color rgb="00FFFFFF"/>
      <sz val="9"/>
    </font>
    <font>
      <name val="Arial"/>
      <color rgb="00808080"/>
      <sz val="10"/>
    </font>
    <font>
      <name val="Arial"/>
      <color rgb="00000000"/>
      <sz val="10"/>
    </font>
    <font>
      <name val="Arial"/>
      <color rgb="002E7D32"/>
      <sz val="10"/>
    </font>
    <font>
      <name val="Arial"/>
      <color rgb="00000000"/>
      <sz val="9"/>
    </font>
    <font>
      <name val="Arial"/>
      <color rgb="00C00000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5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49" fontId="9" fillId="3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 wrapText="1"/>
    </xf>
    <xf numFmtId="2" fontId="9" fillId="3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12" fillId="2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/>
    </xf>
    <xf numFmtId="49" fontId="9" fillId="3" borderId="1" applyAlignment="1" pivotButton="0" quotePrefix="0" xfId="0">
      <alignment horizontal="left" vertical="center"/>
    </xf>
    <xf numFmtId="164" fontId="9" fillId="3" borderId="1" applyAlignment="1" pivotButton="0" quotePrefix="0" xfId="0">
      <alignment horizontal="right" vertical="center"/>
    </xf>
    <xf numFmtId="4" fontId="9" fillId="3" borderId="1" applyAlignment="1" pivotButton="0" quotePrefix="0" xfId="0">
      <alignment horizontal="right" vertical="center"/>
    </xf>
    <xf numFmtId="1" fontId="9" fillId="3" borderId="1" applyAlignment="1" pivotButton="0" quotePrefix="0" xfId="0">
      <alignment horizontal="right" vertical="center"/>
    </xf>
    <xf numFmtId="2" fontId="9" fillId="3" borderId="1" applyAlignment="1" pivotButton="0" quotePrefix="0" xfId="0">
      <alignment horizontal="right" vertical="center"/>
    </xf>
    <xf numFmtId="4" fontId="14" fillId="0" borderId="1" applyAlignment="1" pivotButton="0" quotePrefix="0" xfId="0">
      <alignment horizontal="right" vertical="center"/>
    </xf>
    <xf numFmtId="165" fontId="14" fillId="0" borderId="1" applyAlignment="1" pivotButton="0" quotePrefix="0" xfId="0">
      <alignment horizontal="right" vertical="center"/>
    </xf>
    <xf numFmtId="166" fontId="14" fillId="0" borderId="1" applyAlignment="1" pivotButton="0" quotePrefix="0" xfId="0">
      <alignment horizontal="right" vertical="center"/>
    </xf>
    <xf numFmtId="167" fontId="14" fillId="0" borderId="1" applyAlignment="1" pivotButton="0" quotePrefix="0" xfId="0">
      <alignment horizontal="right" vertical="center"/>
    </xf>
    <xf numFmtId="49" fontId="15" fillId="0" borderId="1" applyAlignment="1" pivotButton="0" quotePrefix="0" xfId="0">
      <alignment horizontal="left" vertical="center"/>
    </xf>
    <xf numFmtId="49" fontId="16" fillId="0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right" vertical="center"/>
    </xf>
    <xf numFmtId="164" fontId="8" fillId="5" borderId="1" applyAlignment="1" pivotButton="0" quotePrefix="0" xfId="0">
      <alignment horizontal="right" vertical="center"/>
    </xf>
    <xf numFmtId="4" fontId="8" fillId="5" borderId="1" applyAlignment="1" pivotButton="0" quotePrefix="0" xfId="0">
      <alignment horizontal="right" vertical="center"/>
    </xf>
    <xf numFmtId="165" fontId="8" fillId="5" borderId="1" applyAlignment="1" pivotButton="0" quotePrefix="0" xfId="0">
      <alignment horizontal="right" vertical="center"/>
    </xf>
    <xf numFmtId="166" fontId="8" fillId="5" borderId="1" applyAlignment="1" pivotButton="0" quotePrefix="0" xfId="0">
      <alignment horizontal="right" vertical="center"/>
    </xf>
    <xf numFmtId="167" fontId="8" fillId="5" borderId="1" applyAlignment="1" pivotButton="0" quotePrefix="0" xfId="0">
      <alignment horizontal="right" vertical="center"/>
    </xf>
    <xf numFmtId="49" fontId="8" fillId="5" borderId="1" applyAlignment="1" pivotButton="0" quotePrefix="0" xfId="0">
      <alignment horizontal="right" vertical="center"/>
    </xf>
    <xf numFmtId="4" fontId="9" fillId="3" borderId="1" applyAlignment="1" pivotButton="0" quotePrefix="0" xfId="0">
      <alignment horizontal="right" vertical="center"/>
    </xf>
    <xf numFmtId="164" fontId="9" fillId="3" borderId="1" applyAlignment="1" pivotButton="0" quotePrefix="0" xfId="0">
      <alignment horizontal="right" vertical="center"/>
    </xf>
    <xf numFmtId="9" fontId="9" fillId="3" borderId="1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center" wrapText="1"/>
    </xf>
    <xf numFmtId="10" fontId="14" fillId="0" borderId="1" applyAlignment="1" pivotButton="0" quotePrefix="0" xfId="0">
      <alignment horizontal="right" vertical="center"/>
    </xf>
    <xf numFmtId="168" fontId="14" fillId="0" borderId="1" applyAlignment="1" pivotButton="0" quotePrefix="0" xfId="0">
      <alignment horizontal="right" vertical="center"/>
    </xf>
    <xf numFmtId="0" fontId="17" fillId="0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left" vertical="center" wrapText="1"/>
    </xf>
    <xf numFmtId="168" fontId="8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Domania</author>
  </authors>
  <commentList>
    <comment ref="E7" authorId="0" shapeId="0">
      <text>
        <t>Texte libre, repris dans la phrase de synthèse.</t>
      </text>
    </comment>
    <comment ref="E8" authorId="0" shapeId="0">
      <text>
        <t>Saisie utilisateur. Valeur 2026 : 127,04, indice national des fermages constaté par arrêté du ministre de l'Agriculture (référentiel Domania, IndicesNational campagne 2026). À mettre à jour chaque année.</t>
      </text>
    </comment>
    <comment ref="E9" authorId="0" shapeId="0">
      <text>
        <t>Saisie utilisateur. Valeur 2025 : 123,06 (référentiel Domania). Sert seulement à afficher la variation.</t>
      </text>
    </comment>
    <comment ref="F27" authorId="0" shapeId="0">
      <text>
        <t>Loyer initial moyen pondéré par la surface (SOMMEPROD).</t>
      </text>
    </comment>
    <comment ref="E30" authorId="0" shapeId="0">
      <text>
        <t>Saisie utilisateur.</t>
      </text>
    </comment>
    <comment ref="E31" authorId="0" shapeId="0">
      <text>
        <t>Saisie utilisateur.</t>
      </text>
    </comment>
    <comment ref="E32" authorId="0" shapeId="0">
      <text>
        <t>Saisie utilisateur.</t>
      </text>
    </comment>
    <comment ref="E33" authorId="0" shapeId="0">
      <text>
        <t>Saisie utilisateur.</t>
      </text>
    </comment>
    <comment ref="E34" authorId="0" shapeId="0">
      <text>
        <t>Valeur par défaut Domania, modifiable.</t>
      </text>
    </comment>
    <comment ref="E35" authorId="0" shapeId="0">
      <text>
        <t>Valeur par défaut Domania, modifiable.</t>
      </text>
    </comment>
    <comment ref="E36" authorId="0" shapeId="0">
      <text>
        <t>Valeur par défaut Domania, modifiable.</t>
      </text>
    </comment>
    <comment ref="E37" authorId="0" shapeId="0">
      <text>
        <t>Valeur par défaut Domania, modifiable.</t>
      </text>
    </comment>
    <comment ref="E38" authorId="0" shapeId="0">
      <text>
        <t>Valeur par défaut Domania, modifiable.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A1:P5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11" customWidth="1" min="8" max="8"/>
    <col width="13" customWidth="1" min="9" max="9"/>
    <col width="12" customWidth="1" min="10" max="10"/>
    <col width="13" customWidth="1" min="11" max="11"/>
    <col width="14" customWidth="1" min="12" max="12"/>
    <col width="12" customWidth="1" min="13" max="13"/>
    <col width="11" customWidth="1" min="14" max="14"/>
    <col width="16" customWidth="1" min="15" max="15"/>
    <col width="28" customWidth="1" min="16" max="16"/>
  </cols>
  <sheetData>
    <row r="1" ht="46" customHeight="1">
      <c r="A1" s="1" t="inlineStr">
        <is>
          <t>ACTUALISATION SIMPLE D'UN FERMAGE
Indice national des fermages</t>
        </is>
      </c>
      <c r="B1" s="2" t="n"/>
      <c r="C1" s="2" t="n"/>
      <c r="D1" s="2" t="n"/>
      <c r="E1" s="2" t="n"/>
      <c r="F1" s="2" t="n"/>
      <c r="G1" s="2" t="n"/>
      <c r="H1" s="2" t="n"/>
      <c r="I1" s="1">
        <f>HYPERLINK("https://domania.exygen.fr/","DOMANIA - le calcul complet du fermage"&amp;CHAR(10)&amp;"pour le propriétaire comme pour le locataire")</f>
        <v/>
      </c>
      <c r="J1" s="2" t="n"/>
      <c r="K1" s="2" t="n"/>
      <c r="L1" s="2" t="n"/>
      <c r="M1" s="2" t="n"/>
      <c r="N1" s="2" t="n"/>
      <c r="O1" s="2" t="n"/>
      <c r="P1" s="2" t="n"/>
    </row>
    <row r="2" ht="44" customHeight="1">
      <c r="A2" s="3" t="inlineStr">
        <is>
          <t>Cette feuille NE VÉRIFIE PAS les contraintes réglementaires (bornes minima/maxima de l'arrêté préfectoral, première année sans actualisation, barèmes en points ou en denrées...). Elle traite un cas simple : loyer actualisé = loyer initial × indice actuel ÷ indice initial.</t>
        </is>
      </c>
      <c r="B2" s="4" t="n"/>
      <c r="C2" s="4" t="n"/>
      <c r="D2" s="4" t="n"/>
      <c r="E2" s="4" t="n"/>
      <c r="F2" s="4" t="n"/>
      <c r="G2" s="4" t="n"/>
      <c r="H2" s="4" t="n"/>
      <c r="I2" s="5">
        <f>HYPERLINK("https://domania.exygen.fr/domania-web/","Domania-Web : gratuit, sans limitation fonctionnelle, directement dans votre navigateur. domania.exygen.fr/domania-web/")</f>
        <v/>
      </c>
      <c r="J2" s="6" t="n"/>
      <c r="K2" s="6" t="n"/>
      <c r="L2" s="6" t="n"/>
      <c r="M2" s="6" t="n"/>
      <c r="N2" s="6" t="n"/>
      <c r="O2" s="6" t="n"/>
      <c r="P2" s="6" t="n"/>
    </row>
    <row r="3" ht="32" customHeight="1">
      <c r="A3" s="7" t="inlineStr">
        <is>
          <t>Saisissez uniquement les cellules jaunes : l'indice actuel en haut, puis, sur chaque ligne de parcelle, la surface, le loyer initial et l'indice initial du bail.</t>
        </is>
      </c>
      <c r="B3" s="8" t="n"/>
      <c r="C3" s="8" t="n"/>
      <c r="D3" s="8" t="n"/>
      <c r="E3" s="8" t="n"/>
      <c r="F3" s="8" t="n"/>
      <c r="G3" s="8" t="n"/>
      <c r="H3" s="8" t="n"/>
      <c r="I3" s="5">
        <f>HYPERLINK("https://domania.exygen.fr/domania-pro/","Domania-Pro : plusieurs baux, preneurs et départements, sauvegarde automatique dans votre Google Drive. domania.exygen.fr/domania-pro/")</f>
        <v/>
      </c>
      <c r="J3" s="6" t="n"/>
      <c r="K3" s="6" t="n"/>
      <c r="L3" s="6" t="n"/>
      <c r="M3" s="6" t="n"/>
      <c r="N3" s="6" t="n"/>
      <c r="O3" s="6" t="n"/>
      <c r="P3" s="6" t="n"/>
    </row>
    <row r="4" ht="30" customHeight="1">
      <c r="A4" s="9" t="inlineStr">
        <is>
          <t>Feuille fournie à titre indicatif, sans garantie. Reportez-vous à votre bail et à l'arrêté préfectoral de votre département.</t>
        </is>
      </c>
      <c r="B4" s="8" t="n"/>
      <c r="C4" s="8" t="n"/>
      <c r="D4" s="8" t="n"/>
      <c r="E4" s="8" t="n"/>
      <c r="F4" s="8" t="n"/>
      <c r="G4" s="8" t="n"/>
      <c r="H4" s="8" t="n"/>
      <c r="I4" s="10" t="inlineStr">
        <is>
          <t>Fermage à la surface, aux points, en denrées - vignes - bâtiments et logements (IRL) - vérification de la réglementation - quittance produite gratuitement.</t>
        </is>
      </c>
      <c r="J4" s="6" t="n"/>
      <c r="K4" s="6" t="n"/>
      <c r="L4" s="6" t="n"/>
      <c r="M4" s="6" t="n"/>
      <c r="N4" s="6" t="n"/>
      <c r="O4" s="6" t="n"/>
      <c r="P4" s="6" t="n"/>
    </row>
    <row r="6">
      <c r="A6" s="11" t="inlineStr">
        <is>
          <t>INDICE ACTUEL</t>
        </is>
      </c>
      <c r="B6" s="2" t="n"/>
      <c r="C6" s="2" t="n"/>
      <c r="D6" s="2" t="n"/>
      <c r="E6" s="2" t="n"/>
      <c r="F6" s="2" t="n"/>
      <c r="G6" s="2" t="n"/>
      <c r="H6" s="2" t="n"/>
      <c r="I6" s="11" t="inlineStr">
        <is>
          <t>EXPLICATION</t>
        </is>
      </c>
      <c r="J6" s="2" t="n"/>
      <c r="K6" s="2" t="n"/>
      <c r="L6" s="2" t="n"/>
      <c r="M6" s="2" t="n"/>
      <c r="N6" s="2" t="n"/>
      <c r="O6" s="2" t="n"/>
      <c r="P6" s="2" t="n"/>
    </row>
    <row r="7">
      <c r="B7" s="12" t="inlineStr">
        <is>
          <t>Campagne</t>
        </is>
      </c>
      <c r="E7" s="13" t="inlineStr">
        <is>
          <t>2026-2027</t>
        </is>
      </c>
      <c r="I7" s="14" t="inlineStr">
        <is>
          <t>Campagne du 1er octobre 2026 au 30 septembre 2027.</t>
        </is>
      </c>
    </row>
    <row r="8">
      <c r="B8" s="12" t="inlineStr">
        <is>
          <t>Indice national des fermages ACTUEL</t>
        </is>
      </c>
      <c r="E8" s="15" t="n">
        <v>127.04</v>
      </c>
      <c r="F8" s="16">
        <f>IF(N(IndiceActuel)=0,"&lt;- indice à saisir","")</f>
        <v/>
      </c>
      <c r="I8" s="14" t="inlineStr">
        <is>
          <t>Indice publié chaque année par arrêté ministériel. Il s'applique aux échéances comprises entre le 1er octobre 2026 et le 30 septembre 2027.</t>
        </is>
      </c>
    </row>
    <row r="9">
      <c r="B9" s="12" t="inlineStr">
        <is>
          <t>Indice de la campagne précédente</t>
        </is>
      </c>
      <c r="E9" s="15" t="n">
        <v>123.06</v>
      </c>
      <c r="I9" s="14">
        <f>IF(N(IndicePrecedent)=0,"","Variation annuelle de l'indice : "&amp;FIXED((IndiceActuel/IndicePrecedent-1)*100,2)&amp;" %")</f>
        <v/>
      </c>
    </row>
    <row r="11" ht="36" customHeight="1">
      <c r="A11" s="17" t="inlineStr">
        <is>
          <t>N°</t>
        </is>
      </c>
      <c r="B11" s="17" t="inlineStr">
        <is>
          <t>Commune</t>
        </is>
      </c>
      <c r="C11" s="17" t="inlineStr">
        <is>
          <t>Référence cadastrale</t>
        </is>
      </c>
      <c r="D11" s="17" t="inlineStr">
        <is>
          <t>Nature</t>
        </is>
      </c>
      <c r="E11" s="17" t="inlineStr">
        <is>
          <t>Surface louée (ha)</t>
        </is>
      </c>
      <c r="F11" s="17" t="inlineStr">
        <is>
          <t>Loyer initial (€/ha)</t>
        </is>
      </c>
      <c r="G11" s="17" t="inlineStr">
        <is>
          <t>Année de l'indice initial</t>
        </is>
      </c>
      <c r="H11" s="17" t="inlineStr">
        <is>
          <t>Indice initial</t>
        </is>
      </c>
      <c r="I11" s="17" t="inlineStr">
        <is>
          <t>Loyer initial (€)</t>
        </is>
      </c>
      <c r="J11" s="17" t="inlineStr">
        <is>
          <t>Coefficient d'actualisation</t>
        </is>
      </c>
      <c r="K11" s="17" t="inlineStr">
        <is>
          <t>Loyer actualisé (€/ha)</t>
        </is>
      </c>
      <c r="L11" s="17" t="inlineStr">
        <is>
          <t>Loyer actualisé (€)</t>
        </is>
      </c>
      <c r="M11" s="17" t="inlineStr">
        <is>
          <t>Écart (€)</t>
        </is>
      </c>
      <c r="N11" s="17" t="inlineStr">
        <is>
          <t>Évolution</t>
        </is>
      </c>
      <c r="O11" s="17" t="inlineStr">
        <is>
          <t>Tendance</t>
        </is>
      </c>
      <c r="P11" s="17" t="inlineStr">
        <is>
          <t>Contrôle de saisie</t>
        </is>
      </c>
    </row>
    <row r="12">
      <c r="A12" s="18" t="n">
        <v>1</v>
      </c>
      <c r="B12" s="19" t="inlineStr">
        <is>
          <t>Exemple-sur-Loire</t>
        </is>
      </c>
      <c r="C12" s="19" t="inlineStr">
        <is>
          <t>ZA 0012</t>
        </is>
      </c>
      <c r="D12" s="19" t="inlineStr">
        <is>
          <t>Terre</t>
        </is>
      </c>
      <c r="E12" s="20" t="n">
        <v>4.5</v>
      </c>
      <c r="F12" s="21" t="n">
        <v>150</v>
      </c>
      <c r="G12" s="22" t="n">
        <v>2019</v>
      </c>
      <c r="H12" s="23" t="n">
        <v>104.76</v>
      </c>
      <c r="I12" s="24">
        <f>IF(COUNT(E12,F12,H12)=3,ROUND(E12*F12,2),"")</f>
        <v/>
      </c>
      <c r="J12" s="25">
        <f>IF(COUNT(E12,F12,H12)=3,ROUND(IndiceActuel/H12,6),"")</f>
        <v/>
      </c>
      <c r="K12" s="24">
        <f>IF(COUNT(E12,F12,H12)=3,ROUND(F12*J12,2),"")</f>
        <v/>
      </c>
      <c r="L12" s="24">
        <f>IF(COUNT(E12,F12,H12)=3,ROUND(E12*K12,2),"")</f>
        <v/>
      </c>
      <c r="M12" s="26">
        <f>IF(COUNT(E12,F12,H12)=3,L12-I12,"")</f>
        <v/>
      </c>
      <c r="N12" s="27">
        <f>IF(N(I12)=0,"",L12/I12-1)</f>
        <v/>
      </c>
      <c r="O12" s="28">
        <f>IF(N(I12)=0,"",CHOOSE(SIGN(M12)+2,"▼ ","= ","▲ ")&amp;REPT("■",MIN(10,ROUND(ABS(N12)*50,0))))</f>
        <v/>
      </c>
      <c r="P12" s="29">
        <f>_xlfn.IFS(COUNTA(B12:H12)=0,"",NOT(COUNT(E12,F12,H12)=3),"Compléter surface, loyer et indice initial",H12&gt;IndiceActuel,"Indice initial supérieur à l'indice actuel ?",OR(D12="Vigne",D12="Verger",D12="Bâtiment"),D12&amp;" : barème spécifique, voir Domania",TRUE,"OK")</f>
        <v/>
      </c>
    </row>
    <row r="13">
      <c r="A13" s="18" t="n">
        <v>2</v>
      </c>
      <c r="B13" s="19" t="inlineStr">
        <is>
          <t>Exemple-sur-Loire</t>
        </is>
      </c>
      <c r="C13" s="19" t="inlineStr">
        <is>
          <t>ZB 0045</t>
        </is>
      </c>
      <c r="D13" s="19" t="inlineStr">
        <is>
          <t>Pré</t>
        </is>
      </c>
      <c r="E13" s="20" t="n">
        <v>2.25</v>
      </c>
      <c r="F13" s="21" t="n">
        <v>120</v>
      </c>
      <c r="G13" s="22" t="n">
        <v>2023</v>
      </c>
      <c r="H13" s="23" t="n">
        <v>116.46</v>
      </c>
      <c r="I13" s="24">
        <f>IF(COUNT(E13,F13,H13)=3,ROUND(E13*F13,2),"")</f>
        <v/>
      </c>
      <c r="J13" s="25">
        <f>IF(COUNT(E13,F13,H13)=3,ROUND(IndiceActuel/H13,6),"")</f>
        <v/>
      </c>
      <c r="K13" s="24">
        <f>IF(COUNT(E13,F13,H13)=3,ROUND(F13*J13,2),"")</f>
        <v/>
      </c>
      <c r="L13" s="24">
        <f>IF(COUNT(E13,F13,H13)=3,ROUND(E13*K13,2),"")</f>
        <v/>
      </c>
      <c r="M13" s="26">
        <f>IF(COUNT(E13,F13,H13)=3,L13-I13,"")</f>
        <v/>
      </c>
      <c r="N13" s="27">
        <f>IF(N(I13)=0,"",L13/I13-1)</f>
        <v/>
      </c>
      <c r="O13" s="28">
        <f>IF(N(I13)=0,"",CHOOSE(SIGN(M13)+2,"▼ ","= ","▲ ")&amp;REPT("■",MIN(10,ROUND(ABS(N13)*50,0))))</f>
        <v/>
      </c>
      <c r="P13" s="29">
        <f>_xlfn.IFS(COUNTA(B13:H13)=0,"",NOT(COUNT(E13,F13,H13)=3),"Compléter surface, loyer et indice initial",H13&gt;IndiceActuel,"Indice initial supérieur à l'indice actuel ?",OR(D13="Vigne",D13="Verger",D13="Bâtiment"),D13&amp;" : barème spécifique, voir Domania",TRUE,"OK")</f>
        <v/>
      </c>
    </row>
    <row r="14">
      <c r="A14" s="18" t="n">
        <v>3</v>
      </c>
      <c r="B14" s="19" t="n"/>
      <c r="C14" s="19" t="n"/>
      <c r="D14" s="19" t="n"/>
      <c r="E14" s="20" t="n"/>
      <c r="F14" s="21" t="n"/>
      <c r="G14" s="22" t="n"/>
      <c r="H14" s="23" t="n"/>
      <c r="I14" s="24">
        <f>IF(COUNT(E14,F14,H14)=3,ROUND(E14*F14,2),"")</f>
        <v/>
      </c>
      <c r="J14" s="25">
        <f>IF(COUNT(E14,F14,H14)=3,ROUND(IndiceActuel/H14,6),"")</f>
        <v/>
      </c>
      <c r="K14" s="24">
        <f>IF(COUNT(E14,F14,H14)=3,ROUND(F14*J14,2),"")</f>
        <v/>
      </c>
      <c r="L14" s="24">
        <f>IF(COUNT(E14,F14,H14)=3,ROUND(E14*K14,2),"")</f>
        <v/>
      </c>
      <c r="M14" s="26">
        <f>IF(COUNT(E14,F14,H14)=3,L14-I14,"")</f>
        <v/>
      </c>
      <c r="N14" s="27">
        <f>IF(N(I14)=0,"",L14/I14-1)</f>
        <v/>
      </c>
      <c r="O14" s="28">
        <f>IF(N(I14)=0,"",CHOOSE(SIGN(M14)+2,"▼ ","= ","▲ ")&amp;REPT("■",MIN(10,ROUND(ABS(N14)*50,0))))</f>
        <v/>
      </c>
      <c r="P14" s="29">
        <f>_xlfn.IFS(COUNTA(B14:H14)=0,"",NOT(COUNT(E14,F14,H14)=3),"Compléter surface, loyer et indice initial",H14&gt;IndiceActuel,"Indice initial supérieur à l'indice actuel ?",OR(D14="Vigne",D14="Verger",D14="Bâtiment"),D14&amp;" : barème spécifique, voir Domania",TRUE,"OK")</f>
        <v/>
      </c>
    </row>
    <row r="15">
      <c r="A15" s="18" t="n">
        <v>4</v>
      </c>
      <c r="B15" s="19" t="n"/>
      <c r="C15" s="19" t="n"/>
      <c r="D15" s="19" t="n"/>
      <c r="E15" s="20" t="n"/>
      <c r="F15" s="21" t="n"/>
      <c r="G15" s="22" t="n"/>
      <c r="H15" s="23" t="n"/>
      <c r="I15" s="24">
        <f>IF(COUNT(E15,F15,H15)=3,ROUND(E15*F15,2),"")</f>
        <v/>
      </c>
      <c r="J15" s="25">
        <f>IF(COUNT(E15,F15,H15)=3,ROUND(IndiceActuel/H15,6),"")</f>
        <v/>
      </c>
      <c r="K15" s="24">
        <f>IF(COUNT(E15,F15,H15)=3,ROUND(F15*J15,2),"")</f>
        <v/>
      </c>
      <c r="L15" s="24">
        <f>IF(COUNT(E15,F15,H15)=3,ROUND(E15*K15,2),"")</f>
        <v/>
      </c>
      <c r="M15" s="26">
        <f>IF(COUNT(E15,F15,H15)=3,L15-I15,"")</f>
        <v/>
      </c>
      <c r="N15" s="27">
        <f>IF(N(I15)=0,"",L15/I15-1)</f>
        <v/>
      </c>
      <c r="O15" s="28">
        <f>IF(N(I15)=0,"",CHOOSE(SIGN(M15)+2,"▼ ","= ","▲ ")&amp;REPT("■",MIN(10,ROUND(ABS(N15)*50,0))))</f>
        <v/>
      </c>
      <c r="P15" s="29">
        <f>_xlfn.IFS(COUNTA(B15:H15)=0,"",NOT(COUNT(E15,F15,H15)=3),"Compléter surface, loyer et indice initial",H15&gt;IndiceActuel,"Indice initial supérieur à l'indice actuel ?",OR(D15="Vigne",D15="Verger",D15="Bâtiment"),D15&amp;" : barème spécifique, voir Domania",TRUE,"OK")</f>
        <v/>
      </c>
    </row>
    <row r="16">
      <c r="A16" s="18" t="n">
        <v>5</v>
      </c>
      <c r="B16" s="19" t="n"/>
      <c r="C16" s="19" t="n"/>
      <c r="D16" s="19" t="n"/>
      <c r="E16" s="20" t="n"/>
      <c r="F16" s="21" t="n"/>
      <c r="G16" s="22" t="n"/>
      <c r="H16" s="23" t="n"/>
      <c r="I16" s="24">
        <f>IF(COUNT(E16,F16,H16)=3,ROUND(E16*F16,2),"")</f>
        <v/>
      </c>
      <c r="J16" s="25">
        <f>IF(COUNT(E16,F16,H16)=3,ROUND(IndiceActuel/H16,6),"")</f>
        <v/>
      </c>
      <c r="K16" s="24">
        <f>IF(COUNT(E16,F16,H16)=3,ROUND(F16*J16,2),"")</f>
        <v/>
      </c>
      <c r="L16" s="24">
        <f>IF(COUNT(E16,F16,H16)=3,ROUND(E16*K16,2),"")</f>
        <v/>
      </c>
      <c r="M16" s="26">
        <f>IF(COUNT(E16,F16,H16)=3,L16-I16,"")</f>
        <v/>
      </c>
      <c r="N16" s="27">
        <f>IF(N(I16)=0,"",L16/I16-1)</f>
        <v/>
      </c>
      <c r="O16" s="28">
        <f>IF(N(I16)=0,"",CHOOSE(SIGN(M16)+2,"▼ ","= ","▲ ")&amp;REPT("■",MIN(10,ROUND(ABS(N16)*50,0))))</f>
        <v/>
      </c>
      <c r="P16" s="29">
        <f>_xlfn.IFS(COUNTA(B16:H16)=0,"",NOT(COUNT(E16,F16,H16)=3),"Compléter surface, loyer et indice initial",H16&gt;IndiceActuel,"Indice initial supérieur à l'indice actuel ?",OR(D16="Vigne",D16="Verger",D16="Bâtiment"),D16&amp;" : barème spécifique, voir Domania",TRUE,"OK")</f>
        <v/>
      </c>
    </row>
    <row r="17">
      <c r="A17" s="18" t="n">
        <v>6</v>
      </c>
      <c r="B17" s="19" t="n"/>
      <c r="C17" s="19" t="n"/>
      <c r="D17" s="19" t="n"/>
      <c r="E17" s="20" t="n"/>
      <c r="F17" s="21" t="n"/>
      <c r="G17" s="22" t="n"/>
      <c r="H17" s="23" t="n"/>
      <c r="I17" s="24">
        <f>IF(COUNT(E17,F17,H17)=3,ROUND(E17*F17,2),"")</f>
        <v/>
      </c>
      <c r="J17" s="25">
        <f>IF(COUNT(E17,F17,H17)=3,ROUND(IndiceActuel/H17,6),"")</f>
        <v/>
      </c>
      <c r="K17" s="24">
        <f>IF(COUNT(E17,F17,H17)=3,ROUND(F17*J17,2),"")</f>
        <v/>
      </c>
      <c r="L17" s="24">
        <f>IF(COUNT(E17,F17,H17)=3,ROUND(E17*K17,2),"")</f>
        <v/>
      </c>
      <c r="M17" s="26">
        <f>IF(COUNT(E17,F17,H17)=3,L17-I17,"")</f>
        <v/>
      </c>
      <c r="N17" s="27">
        <f>IF(N(I17)=0,"",L17/I17-1)</f>
        <v/>
      </c>
      <c r="O17" s="28">
        <f>IF(N(I17)=0,"",CHOOSE(SIGN(M17)+2,"▼ ","= ","▲ ")&amp;REPT("■",MIN(10,ROUND(ABS(N17)*50,0))))</f>
        <v/>
      </c>
      <c r="P17" s="29">
        <f>_xlfn.IFS(COUNTA(B17:H17)=0,"",NOT(COUNT(E17,F17,H17)=3),"Compléter surface, loyer et indice initial",H17&gt;IndiceActuel,"Indice initial supérieur à l'indice actuel ?",OR(D17="Vigne",D17="Verger",D17="Bâtiment"),D17&amp;" : barème spécifique, voir Domania",TRUE,"OK")</f>
        <v/>
      </c>
    </row>
    <row r="18">
      <c r="A18" s="18" t="n">
        <v>7</v>
      </c>
      <c r="B18" s="19" t="n"/>
      <c r="C18" s="19" t="n"/>
      <c r="D18" s="19" t="n"/>
      <c r="E18" s="20" t="n"/>
      <c r="F18" s="21" t="n"/>
      <c r="G18" s="22" t="n"/>
      <c r="H18" s="23" t="n"/>
      <c r="I18" s="24">
        <f>IF(COUNT(E18,F18,H18)=3,ROUND(E18*F18,2),"")</f>
        <v/>
      </c>
      <c r="J18" s="25">
        <f>IF(COUNT(E18,F18,H18)=3,ROUND(IndiceActuel/H18,6),"")</f>
        <v/>
      </c>
      <c r="K18" s="24">
        <f>IF(COUNT(E18,F18,H18)=3,ROUND(F18*J18,2),"")</f>
        <v/>
      </c>
      <c r="L18" s="24">
        <f>IF(COUNT(E18,F18,H18)=3,ROUND(E18*K18,2),"")</f>
        <v/>
      </c>
      <c r="M18" s="26">
        <f>IF(COUNT(E18,F18,H18)=3,L18-I18,"")</f>
        <v/>
      </c>
      <c r="N18" s="27">
        <f>IF(N(I18)=0,"",L18/I18-1)</f>
        <v/>
      </c>
      <c r="O18" s="28">
        <f>IF(N(I18)=0,"",CHOOSE(SIGN(M18)+2,"▼ ","= ","▲ ")&amp;REPT("■",MIN(10,ROUND(ABS(N18)*50,0))))</f>
        <v/>
      </c>
      <c r="P18" s="29">
        <f>_xlfn.IFS(COUNTA(B18:H18)=0,"",NOT(COUNT(E18,F18,H18)=3),"Compléter surface, loyer et indice initial",H18&gt;IndiceActuel,"Indice initial supérieur à l'indice actuel ?",OR(D18="Vigne",D18="Verger",D18="Bâtiment"),D18&amp;" : barème spécifique, voir Domania",TRUE,"OK")</f>
        <v/>
      </c>
    </row>
    <row r="19">
      <c r="A19" s="18" t="n">
        <v>8</v>
      </c>
      <c r="B19" s="19" t="n"/>
      <c r="C19" s="19" t="n"/>
      <c r="D19" s="19" t="n"/>
      <c r="E19" s="20" t="n"/>
      <c r="F19" s="21" t="n"/>
      <c r="G19" s="22" t="n"/>
      <c r="H19" s="23" t="n"/>
      <c r="I19" s="24">
        <f>IF(COUNT(E19,F19,H19)=3,ROUND(E19*F19,2),"")</f>
        <v/>
      </c>
      <c r="J19" s="25">
        <f>IF(COUNT(E19,F19,H19)=3,ROUND(IndiceActuel/H19,6),"")</f>
        <v/>
      </c>
      <c r="K19" s="24">
        <f>IF(COUNT(E19,F19,H19)=3,ROUND(F19*J19,2),"")</f>
        <v/>
      </c>
      <c r="L19" s="24">
        <f>IF(COUNT(E19,F19,H19)=3,ROUND(E19*K19,2),"")</f>
        <v/>
      </c>
      <c r="M19" s="26">
        <f>IF(COUNT(E19,F19,H19)=3,L19-I19,"")</f>
        <v/>
      </c>
      <c r="N19" s="27">
        <f>IF(N(I19)=0,"",L19/I19-1)</f>
        <v/>
      </c>
      <c r="O19" s="28">
        <f>IF(N(I19)=0,"",CHOOSE(SIGN(M19)+2,"▼ ","= ","▲ ")&amp;REPT("■",MIN(10,ROUND(ABS(N19)*50,0))))</f>
        <v/>
      </c>
      <c r="P19" s="29">
        <f>_xlfn.IFS(COUNTA(B19:H19)=0,"",NOT(COUNT(E19,F19,H19)=3),"Compléter surface, loyer et indice initial",H19&gt;IndiceActuel,"Indice initial supérieur à l'indice actuel ?",OR(D19="Vigne",D19="Verger",D19="Bâtiment"),D19&amp;" : barème spécifique, voir Domania",TRUE,"OK")</f>
        <v/>
      </c>
    </row>
    <row r="20">
      <c r="A20" s="18" t="n">
        <v>9</v>
      </c>
      <c r="B20" s="19" t="n"/>
      <c r="C20" s="19" t="n"/>
      <c r="D20" s="19" t="n"/>
      <c r="E20" s="20" t="n"/>
      <c r="F20" s="21" t="n"/>
      <c r="G20" s="22" t="n"/>
      <c r="H20" s="23" t="n"/>
      <c r="I20" s="24">
        <f>IF(COUNT(E20,F20,H20)=3,ROUND(E20*F20,2),"")</f>
        <v/>
      </c>
      <c r="J20" s="25">
        <f>IF(COUNT(E20,F20,H20)=3,ROUND(IndiceActuel/H20,6),"")</f>
        <v/>
      </c>
      <c r="K20" s="24">
        <f>IF(COUNT(E20,F20,H20)=3,ROUND(F20*J20,2),"")</f>
        <v/>
      </c>
      <c r="L20" s="24">
        <f>IF(COUNT(E20,F20,H20)=3,ROUND(E20*K20,2),"")</f>
        <v/>
      </c>
      <c r="M20" s="26">
        <f>IF(COUNT(E20,F20,H20)=3,L20-I20,"")</f>
        <v/>
      </c>
      <c r="N20" s="27">
        <f>IF(N(I20)=0,"",L20/I20-1)</f>
        <v/>
      </c>
      <c r="O20" s="28">
        <f>IF(N(I20)=0,"",CHOOSE(SIGN(M20)+2,"▼ ","= ","▲ ")&amp;REPT("■",MIN(10,ROUND(ABS(N20)*50,0))))</f>
        <v/>
      </c>
      <c r="P20" s="29">
        <f>_xlfn.IFS(COUNTA(B20:H20)=0,"",NOT(COUNT(E20,F20,H20)=3),"Compléter surface, loyer et indice initial",H20&gt;IndiceActuel,"Indice initial supérieur à l'indice actuel ?",OR(D20="Vigne",D20="Verger",D20="Bâtiment"),D20&amp;" : barème spécifique, voir Domania",TRUE,"OK")</f>
        <v/>
      </c>
    </row>
    <row r="21">
      <c r="A21" s="18" t="n">
        <v>10</v>
      </c>
      <c r="B21" s="19" t="n"/>
      <c r="C21" s="19" t="n"/>
      <c r="D21" s="19" t="n"/>
      <c r="E21" s="20" t="n"/>
      <c r="F21" s="21" t="n"/>
      <c r="G21" s="22" t="n"/>
      <c r="H21" s="23" t="n"/>
      <c r="I21" s="24">
        <f>IF(COUNT(E21,F21,H21)=3,ROUND(E21*F21,2),"")</f>
        <v/>
      </c>
      <c r="J21" s="25">
        <f>IF(COUNT(E21,F21,H21)=3,ROUND(IndiceActuel/H21,6),"")</f>
        <v/>
      </c>
      <c r="K21" s="24">
        <f>IF(COUNT(E21,F21,H21)=3,ROUND(F21*J21,2),"")</f>
        <v/>
      </c>
      <c r="L21" s="24">
        <f>IF(COUNT(E21,F21,H21)=3,ROUND(E21*K21,2),"")</f>
        <v/>
      </c>
      <c r="M21" s="26">
        <f>IF(COUNT(E21,F21,H21)=3,L21-I21,"")</f>
        <v/>
      </c>
      <c r="N21" s="27">
        <f>IF(N(I21)=0,"",L21/I21-1)</f>
        <v/>
      </c>
      <c r="O21" s="28">
        <f>IF(N(I21)=0,"",CHOOSE(SIGN(M21)+2,"▼ ","= ","▲ ")&amp;REPT("■",MIN(10,ROUND(ABS(N21)*50,0))))</f>
        <v/>
      </c>
      <c r="P21" s="29">
        <f>_xlfn.IFS(COUNTA(B21:H21)=0,"",NOT(COUNT(E21,F21,H21)=3),"Compléter surface, loyer et indice initial",H21&gt;IndiceActuel,"Indice initial supérieur à l'indice actuel ?",OR(D21="Vigne",D21="Verger",D21="Bâtiment"),D21&amp;" : barème spécifique, voir Domania",TRUE,"OK")</f>
        <v/>
      </c>
    </row>
    <row r="22">
      <c r="A22" s="18" t="n">
        <v>11</v>
      </c>
      <c r="B22" s="19" t="n"/>
      <c r="C22" s="19" t="n"/>
      <c r="D22" s="19" t="n"/>
      <c r="E22" s="20" t="n"/>
      <c r="F22" s="21" t="n"/>
      <c r="G22" s="22" t="n"/>
      <c r="H22" s="23" t="n"/>
      <c r="I22" s="24">
        <f>IF(COUNT(E22,F22,H22)=3,ROUND(E22*F22,2),"")</f>
        <v/>
      </c>
      <c r="J22" s="25">
        <f>IF(COUNT(E22,F22,H22)=3,ROUND(IndiceActuel/H22,6),"")</f>
        <v/>
      </c>
      <c r="K22" s="24">
        <f>IF(COUNT(E22,F22,H22)=3,ROUND(F22*J22,2),"")</f>
        <v/>
      </c>
      <c r="L22" s="24">
        <f>IF(COUNT(E22,F22,H22)=3,ROUND(E22*K22,2),"")</f>
        <v/>
      </c>
      <c r="M22" s="26">
        <f>IF(COUNT(E22,F22,H22)=3,L22-I22,"")</f>
        <v/>
      </c>
      <c r="N22" s="27">
        <f>IF(N(I22)=0,"",L22/I22-1)</f>
        <v/>
      </c>
      <c r="O22" s="28">
        <f>IF(N(I22)=0,"",CHOOSE(SIGN(M22)+2,"▼ ","= ","▲ ")&amp;REPT("■",MIN(10,ROUND(ABS(N22)*50,0))))</f>
        <v/>
      </c>
      <c r="P22" s="29">
        <f>_xlfn.IFS(COUNTA(B22:H22)=0,"",NOT(COUNT(E22,F22,H22)=3),"Compléter surface, loyer et indice initial",H22&gt;IndiceActuel,"Indice initial supérieur à l'indice actuel ?",OR(D22="Vigne",D22="Verger",D22="Bâtiment"),D22&amp;" : barème spécifique, voir Domania",TRUE,"OK")</f>
        <v/>
      </c>
    </row>
    <row r="23">
      <c r="A23" s="18" t="n">
        <v>12</v>
      </c>
      <c r="B23" s="19" t="n"/>
      <c r="C23" s="19" t="n"/>
      <c r="D23" s="19" t="n"/>
      <c r="E23" s="20" t="n"/>
      <c r="F23" s="21" t="n"/>
      <c r="G23" s="22" t="n"/>
      <c r="H23" s="23" t="n"/>
      <c r="I23" s="24">
        <f>IF(COUNT(E23,F23,H23)=3,ROUND(E23*F23,2),"")</f>
        <v/>
      </c>
      <c r="J23" s="25">
        <f>IF(COUNT(E23,F23,H23)=3,ROUND(IndiceActuel/H23,6),"")</f>
        <v/>
      </c>
      <c r="K23" s="24">
        <f>IF(COUNT(E23,F23,H23)=3,ROUND(F23*J23,2),"")</f>
        <v/>
      </c>
      <c r="L23" s="24">
        <f>IF(COUNT(E23,F23,H23)=3,ROUND(E23*K23,2),"")</f>
        <v/>
      </c>
      <c r="M23" s="26">
        <f>IF(COUNT(E23,F23,H23)=3,L23-I23,"")</f>
        <v/>
      </c>
      <c r="N23" s="27">
        <f>IF(N(I23)=0,"",L23/I23-1)</f>
        <v/>
      </c>
      <c r="O23" s="28">
        <f>IF(N(I23)=0,"",CHOOSE(SIGN(M23)+2,"▼ ","= ","▲ ")&amp;REPT("■",MIN(10,ROUND(ABS(N23)*50,0))))</f>
        <v/>
      </c>
      <c r="P23" s="29">
        <f>_xlfn.IFS(COUNTA(B23:H23)=0,"",NOT(COUNT(E23,F23,H23)=3),"Compléter surface, loyer et indice initial",H23&gt;IndiceActuel,"Indice initial supérieur à l'indice actuel ?",OR(D23="Vigne",D23="Verger",D23="Bâtiment"),D23&amp;" : barème spécifique, voir Domania",TRUE,"OK")</f>
        <v/>
      </c>
    </row>
    <row r="24">
      <c r="A24" s="18" t="n">
        <v>13</v>
      </c>
      <c r="B24" s="19" t="n"/>
      <c r="C24" s="19" t="n"/>
      <c r="D24" s="19" t="n"/>
      <c r="E24" s="20" t="n"/>
      <c r="F24" s="21" t="n"/>
      <c r="G24" s="22" t="n"/>
      <c r="H24" s="23" t="n"/>
      <c r="I24" s="24">
        <f>IF(COUNT(E24,F24,H24)=3,ROUND(E24*F24,2),"")</f>
        <v/>
      </c>
      <c r="J24" s="25">
        <f>IF(COUNT(E24,F24,H24)=3,ROUND(IndiceActuel/H24,6),"")</f>
        <v/>
      </c>
      <c r="K24" s="24">
        <f>IF(COUNT(E24,F24,H24)=3,ROUND(F24*J24,2),"")</f>
        <v/>
      </c>
      <c r="L24" s="24">
        <f>IF(COUNT(E24,F24,H24)=3,ROUND(E24*K24,2),"")</f>
        <v/>
      </c>
      <c r="M24" s="26">
        <f>IF(COUNT(E24,F24,H24)=3,L24-I24,"")</f>
        <v/>
      </c>
      <c r="N24" s="27">
        <f>IF(N(I24)=0,"",L24/I24-1)</f>
        <v/>
      </c>
      <c r="O24" s="28">
        <f>IF(N(I24)=0,"",CHOOSE(SIGN(M24)+2,"▼ ","= ","▲ ")&amp;REPT("■",MIN(10,ROUND(ABS(N24)*50,0))))</f>
        <v/>
      </c>
      <c r="P24" s="29">
        <f>_xlfn.IFS(COUNTA(B24:H24)=0,"",NOT(COUNT(E24,F24,H24)=3),"Compléter surface, loyer et indice initial",H24&gt;IndiceActuel,"Indice initial supérieur à l'indice actuel ?",OR(D24="Vigne",D24="Verger",D24="Bâtiment"),D24&amp;" : barème spécifique, voir Domania",TRUE,"OK")</f>
        <v/>
      </c>
    </row>
    <row r="25">
      <c r="A25" s="18" t="n">
        <v>14</v>
      </c>
      <c r="B25" s="19" t="n"/>
      <c r="C25" s="19" t="n"/>
      <c r="D25" s="19" t="n"/>
      <c r="E25" s="20" t="n"/>
      <c r="F25" s="21" t="n"/>
      <c r="G25" s="22" t="n"/>
      <c r="H25" s="23" t="n"/>
      <c r="I25" s="24">
        <f>IF(COUNT(E25,F25,H25)=3,ROUND(E25*F25,2),"")</f>
        <v/>
      </c>
      <c r="J25" s="25">
        <f>IF(COUNT(E25,F25,H25)=3,ROUND(IndiceActuel/H25,6),"")</f>
        <v/>
      </c>
      <c r="K25" s="24">
        <f>IF(COUNT(E25,F25,H25)=3,ROUND(F25*J25,2),"")</f>
        <v/>
      </c>
      <c r="L25" s="24">
        <f>IF(COUNT(E25,F25,H25)=3,ROUND(E25*K25,2),"")</f>
        <v/>
      </c>
      <c r="M25" s="26">
        <f>IF(COUNT(E25,F25,H25)=3,L25-I25,"")</f>
        <v/>
      </c>
      <c r="N25" s="27">
        <f>IF(N(I25)=0,"",L25/I25-1)</f>
        <v/>
      </c>
      <c r="O25" s="28">
        <f>IF(N(I25)=0,"",CHOOSE(SIGN(M25)+2,"▼ ","= ","▲ ")&amp;REPT("■",MIN(10,ROUND(ABS(N25)*50,0))))</f>
        <v/>
      </c>
      <c r="P25" s="29">
        <f>_xlfn.IFS(COUNTA(B25:H25)=0,"",NOT(COUNT(E25,F25,H25)=3),"Compléter surface, loyer et indice initial",H25&gt;IndiceActuel,"Indice initial supérieur à l'indice actuel ?",OR(D25="Vigne",D25="Verger",D25="Bâtiment"),D25&amp;" : barème spécifique, voir Domania",TRUE,"OK")</f>
        <v/>
      </c>
    </row>
    <row r="26">
      <c r="A26" s="18" t="n">
        <v>15</v>
      </c>
      <c r="B26" s="19" t="n"/>
      <c r="C26" s="19" t="n"/>
      <c r="D26" s="19" t="n"/>
      <c r="E26" s="20" t="n"/>
      <c r="F26" s="21" t="n"/>
      <c r="G26" s="22" t="n"/>
      <c r="H26" s="23" t="n"/>
      <c r="I26" s="24">
        <f>IF(COUNT(E26,F26,H26)=3,ROUND(E26*F26,2),"")</f>
        <v/>
      </c>
      <c r="J26" s="25">
        <f>IF(COUNT(E26,F26,H26)=3,ROUND(IndiceActuel/H26,6),"")</f>
        <v/>
      </c>
      <c r="K26" s="24">
        <f>IF(COUNT(E26,F26,H26)=3,ROUND(F26*J26,2),"")</f>
        <v/>
      </c>
      <c r="L26" s="24">
        <f>IF(COUNT(E26,F26,H26)=3,ROUND(E26*K26,2),"")</f>
        <v/>
      </c>
      <c r="M26" s="26">
        <f>IF(COUNT(E26,F26,H26)=3,L26-I26,"")</f>
        <v/>
      </c>
      <c r="N26" s="27">
        <f>IF(N(I26)=0,"",L26/I26-1)</f>
        <v/>
      </c>
      <c r="O26" s="28">
        <f>IF(N(I26)=0,"",CHOOSE(SIGN(M26)+2,"▼ ","= ","▲ ")&amp;REPT("■",MIN(10,ROUND(ABS(N26)*50,0))))</f>
        <v/>
      </c>
      <c r="P26" s="29">
        <f>_xlfn.IFS(COUNTA(B26:H26)=0,"",NOT(COUNT(E26,F26,H26)=3),"Compléter surface, loyer et indice initial",H26&gt;IndiceActuel,"Indice initial supérieur à l'indice actuel ?",OR(D26="Vigne",D26="Verger",D26="Bâtiment"),D26&amp;" : barème spécifique, voir Domania",TRUE,"OK")</f>
        <v/>
      </c>
    </row>
    <row r="27">
      <c r="A27" s="30" t="inlineStr">
        <is>
          <t>TOTAL</t>
        </is>
      </c>
      <c r="B27" s="31" t="n"/>
      <c r="C27" s="31" t="n"/>
      <c r="D27" s="31" t="n"/>
      <c r="E27" s="32">
        <f>SUBTOTAL(109,E12:E26)</f>
        <v/>
      </c>
      <c r="F27" s="33">
        <f>IF(N(E27)=0,"",SUMPRODUCT(E12:E26,F12:F26)/E27)</f>
        <v/>
      </c>
      <c r="G27" s="31" t="n"/>
      <c r="H27" s="31" t="n"/>
      <c r="I27" s="33">
        <f>SUBTOTAL(109,I12:I26)</f>
        <v/>
      </c>
      <c r="J27" s="34">
        <f>IF(N(I27)=0,"",ROUND(L27/I27,6))</f>
        <v/>
      </c>
      <c r="K27" s="33">
        <f>IF(N(E27)=0,"",ROUND(L27/E27,2))</f>
        <v/>
      </c>
      <c r="L27" s="33">
        <f>SUBTOTAL(109,L12:L26)</f>
        <v/>
      </c>
      <c r="M27" s="35">
        <f>L27-I27</f>
        <v/>
      </c>
      <c r="N27" s="36">
        <f>IF(N(I27)=0,"",L27/I27-1)</f>
        <v/>
      </c>
      <c r="O27" s="31" t="n"/>
      <c r="P27" s="37">
        <f>SUMPRODUCT(--(P12:P26&lt;&gt;"OK"),--(P12:P26&lt;&gt;""))&amp;" ligne(s) à revoir"</f>
        <v/>
      </c>
    </row>
    <row r="29">
      <c r="A29" s="11" t="inlineStr">
        <is>
          <t>CONTRIBUTION À LA TAXE FONCIÈRE, À LA CHAMBRE D'AGRICULTURE ET AUX FRAIS</t>
        </is>
      </c>
      <c r="B29" s="2" t="n"/>
      <c r="C29" s="2" t="n"/>
      <c r="D29" s="2" t="n"/>
      <c r="E29" s="2" t="n"/>
      <c r="F29" s="2" t="n"/>
      <c r="G29" s="2" t="n"/>
      <c r="H29" s="2" t="n"/>
      <c r="I29" s="11" t="inlineStr">
        <is>
          <t>FORMULE ET EXPLICATION</t>
        </is>
      </c>
      <c r="J29" s="2" t="n"/>
      <c r="K29" s="2" t="n"/>
      <c r="L29" s="2" t="n"/>
      <c r="M29" s="2" t="n"/>
      <c r="N29" s="2" t="n"/>
      <c r="O29" s="2" t="n"/>
      <c r="P29" s="2" t="n"/>
    </row>
    <row r="30">
      <c r="B30" s="12" t="inlineStr">
        <is>
          <t>TFPNB de l'avis de taxe foncière (€)</t>
        </is>
      </c>
      <c r="E30" s="38" t="n">
        <v>300</v>
      </c>
      <c r="I30" s="14" t="inlineStr">
        <is>
          <t>Montant de taxe foncière sur les propriétés non bâties payé par le bailleur, déjà net du dégrèvement national. Exemple : à remplacer par l'avis réel.</t>
        </is>
      </c>
    </row>
    <row r="31">
      <c r="B31" s="12" t="inlineStr">
        <is>
          <t>Taxe chambre d'agriculture de l'avis (€)</t>
        </is>
      </c>
      <c r="E31" s="38" t="n">
        <v>45</v>
      </c>
      <c r="I31" s="14" t="inlineStr">
        <is>
          <t>Colonne « Chambre d'agriculture » du même avis. Exemple : à remplacer par l'avis réel.</t>
        </is>
      </c>
    </row>
    <row r="32">
      <c r="B32" s="12" t="inlineStr">
        <is>
          <t>Dégrèvement accordé sur l'avis (€)</t>
        </is>
      </c>
      <c r="E32" s="38" t="n">
        <v>0</v>
      </c>
      <c r="I32" s="14" t="inlineStr">
        <is>
          <t>Montant éventuel accordé par l'administration sur cet avis (calamité, perte de récolte...). Il revient en entier au preneur.</t>
        </is>
      </c>
    </row>
    <row r="33">
      <c r="B33" s="12" t="inlineStr">
        <is>
          <t>Surface totale des parcelles de l'avis (ha)</t>
        </is>
      </c>
      <c r="E33" s="39">
        <f>SurfaceLouee</f>
        <v/>
      </c>
      <c r="I33" s="14" t="inlineStr">
        <is>
          <t>Par défaut la surface louée. Remplacez-la si l'avis porte aussi sur d'autres parcelles du bailleur dans la commune.</t>
        </is>
      </c>
    </row>
    <row r="34">
      <c r="B34" s="12" t="inlineStr">
        <is>
          <t>Taux national de dégrèvement TFPNB</t>
        </is>
      </c>
      <c r="E34" s="40" t="n">
        <v>0.3</v>
      </c>
      <c r="I34" s="14" t="inlineStr">
        <is>
          <t>20 % jusqu'à la campagne 2024, 30 % depuis la campagne 2025 (1er octobre 2025).</t>
        </is>
      </c>
    </row>
    <row r="35">
      <c r="B35" s="12" t="inlineStr">
        <is>
          <t>Participation du preneur à la TFPNB (bail)</t>
        </is>
      </c>
      <c r="E35" s="40" t="n">
        <v>0.2</v>
      </c>
      <c r="I35" s="14" t="inlineStr">
        <is>
          <t>Taux prévu au bail ; à défaut d'accord, 1/5 (20 %).</t>
        </is>
      </c>
    </row>
    <row r="36">
      <c r="B36" s="12" t="inlineStr">
        <is>
          <t>Frais de gestion sur la TFPNB</t>
        </is>
      </c>
      <c r="E36" s="40" t="n">
        <v>0.03</v>
      </c>
      <c r="I36" s="14" t="inlineStr">
        <is>
          <t>Frais de gestion de la fiscalité locale facturés sur la part TFPNB (3 %).</t>
        </is>
      </c>
    </row>
    <row r="37">
      <c r="B37" s="12" t="inlineStr">
        <is>
          <t>Participation du preneur à la chambre d'agriculture</t>
        </is>
      </c>
      <c r="E37" s="40" t="n">
        <v>0.5</v>
      </c>
      <c r="I37" s="14" t="inlineStr">
        <is>
          <t>Taxe pour frais de chambre d'agriculture supportée par moitié (50 %).</t>
        </is>
      </c>
    </row>
    <row r="38">
      <c r="B38" s="12" t="inlineStr">
        <is>
          <t>Frais de gestion sur la chambre d'agriculture</t>
        </is>
      </c>
      <c r="E38" s="40" t="n">
        <v>0.08</v>
      </c>
      <c r="I38" s="14" t="inlineStr">
        <is>
          <t>Frais de gestion facturés sur la part chambre d'agriculture (8 %).</t>
        </is>
      </c>
    </row>
    <row r="40" ht="24" customHeight="1">
      <c r="B40" s="41" t="inlineStr">
        <is>
          <t>Part du bail dans l'avis</t>
        </is>
      </c>
      <c r="E40" s="42">
        <f>IF(N(SurfaceAvis)=0,0,MIN(1,SurfaceLouee/SurfaceAvis))</f>
        <v/>
      </c>
      <c r="I40" s="14" t="inlineStr">
        <is>
          <t>Surface louée ÷ surface totale de l'avis (plafonnée à 100 %).</t>
        </is>
      </c>
    </row>
    <row r="41" ht="24" customHeight="1">
      <c r="B41" s="41" t="inlineStr">
        <is>
          <t>TFPNB rattachée au bail (€)</t>
        </is>
      </c>
      <c r="E41" s="24">
        <f>ROUND(AvisTFPNB*PartBail,2)</f>
        <v/>
      </c>
      <c r="I41" s="14" t="inlineStr">
        <is>
          <t>TFPNB de l'avis × part du bail.</t>
        </is>
      </c>
    </row>
    <row r="42" ht="30" customHeight="1">
      <c r="B42" s="41" t="inlineStr">
        <is>
          <t>Part TFPNB due par le preneur (€)</t>
        </is>
      </c>
      <c r="E42" s="43">
        <f>ROUND(TFPNBBail/(1-TauxDegrevement)*(TauxTFPNB-TauxDegrevement),2)</f>
        <v/>
      </c>
      <c r="F42" s="44">
        <f>CHOOSE(SIGN(PartTFPNB)+2,"restitution au preneur","","")</f>
        <v/>
      </c>
      <c r="I42" s="14" t="inlineStr">
        <is>
          <t>TFPNB ramenée avant dégrèvement (÷ (1 - dégrèvement)), × (taux du bail - dégrèvement). Le dégrèvement revient en entier au preneur : un montant négatif est restitué au preneur.</t>
        </is>
      </c>
    </row>
    <row r="43">
      <c r="B43" s="41" t="inlineStr">
        <is>
          <t>Frais de gestion TFPNB (€)</t>
        </is>
      </c>
      <c r="E43" s="24">
        <f>ROUND(MAX(0,PartTFPNB)*FraisTFPNB,2)</f>
        <v/>
      </c>
      <c r="I43" s="14" t="inlineStr">
        <is>
          <t>Part TFPNB × 3 %. Aucun frais quand la part est une restitution.</t>
        </is>
      </c>
    </row>
    <row r="44">
      <c r="B44" s="41" t="inlineStr">
        <is>
          <t>Participation chambre d'agriculture (€)</t>
        </is>
      </c>
      <c r="E44" s="24">
        <f>ROUND(AvisChambre*PartBail*TauxChambre,2)</f>
        <v/>
      </c>
      <c r="I44" s="14" t="inlineStr">
        <is>
          <t>Taxe chambre d'agriculture de l'avis × part du bail × 50 %.</t>
        </is>
      </c>
    </row>
    <row r="45">
      <c r="B45" s="41" t="inlineStr">
        <is>
          <t>Frais de gestion chambre d'agriculture (€)</t>
        </is>
      </c>
      <c r="E45" s="24">
        <f>ROUND(E44*FraisChambre,2)</f>
        <v/>
      </c>
      <c r="I45" s="14" t="inlineStr">
        <is>
          <t>Participation chambre d'agriculture × 8 %.</t>
        </is>
      </c>
    </row>
    <row r="46">
      <c r="B46" s="41" t="inlineStr">
        <is>
          <t>Dégrèvement de l'avis rétrocédé (€)</t>
        </is>
      </c>
      <c r="E46" s="43">
        <f>-ROUND(AvisDegrevement*PartBail,2)</f>
        <v/>
      </c>
      <c r="I46" s="14" t="inlineStr">
        <is>
          <t>Dégrèvement de l'avis × part du bail, déduit au profit du preneur.</t>
        </is>
      </c>
    </row>
    <row r="47" ht="24" customHeight="1">
      <c r="B47" s="45" t="inlineStr">
        <is>
          <t>TOTAL DES PARTICIPATIONS (€)</t>
        </is>
      </c>
      <c r="C47" s="6" t="n"/>
      <c r="D47" s="6" t="n"/>
      <c r="E47" s="46">
        <f>SUM(E42:E46)</f>
        <v/>
      </c>
      <c r="I47" s="14" t="inlineStr">
        <is>
          <t>Somme des lignes ci-dessus.</t>
        </is>
      </c>
    </row>
    <row r="49">
      <c r="B49" s="41" t="inlineStr">
        <is>
          <t>FERMAGE ACTUALISÉ (€)</t>
        </is>
      </c>
      <c r="E49" s="24">
        <f>FermageActualise</f>
        <v/>
      </c>
      <c r="I49" s="14" t="inlineStr">
        <is>
          <t>Total du tableau des parcelles.</t>
        </is>
      </c>
    </row>
    <row r="50" ht="24" customHeight="1">
      <c r="B50" s="45" t="inlineStr">
        <is>
          <t>TOTAL À PAYER PAR LE PRENEUR (€)</t>
        </is>
      </c>
      <c r="C50" s="6" t="n"/>
      <c r="D50" s="6" t="n"/>
      <c r="E50" s="33">
        <f>ROUND(E49+Participations,2)</f>
        <v/>
      </c>
      <c r="I50" s="14" t="inlineStr">
        <is>
          <t>Fermage actualisé + participations.</t>
        </is>
      </c>
    </row>
    <row r="51" ht="36" customHeight="1">
      <c r="A51" s="5">
        <f>"Campagne "&amp;$E$7&amp;" : le preneur verse "&amp;FIXED(TotalAPayer,2)&amp;" €, dont "&amp;FIXED(FermageActualise,2)&amp;" € de fermage actualisé et "&amp;FIXED(Participations,2)&amp;" € de participations aux taxes et frais."</f>
        <v/>
      </c>
      <c r="B51" s="6" t="n"/>
      <c r="C51" s="6" t="n"/>
      <c r="D51" s="6" t="n"/>
      <c r="E51" s="6" t="n"/>
      <c r="F51" s="6" t="n"/>
      <c r="G51" s="6" t="n"/>
      <c r="H51" s="6" t="n"/>
    </row>
  </sheetData>
  <mergeCells count="58">
    <mergeCell ref="B42:D42"/>
    <mergeCell ref="I34:P34"/>
    <mergeCell ref="I6:P6"/>
    <mergeCell ref="I30:P30"/>
    <mergeCell ref="B8:D8"/>
    <mergeCell ref="A51:H51"/>
    <mergeCell ref="I49:P49"/>
    <mergeCell ref="I46:P46"/>
    <mergeCell ref="I2:P2"/>
    <mergeCell ref="B44:D44"/>
    <mergeCell ref="A1:H1"/>
    <mergeCell ref="I36:P36"/>
    <mergeCell ref="I45:P45"/>
    <mergeCell ref="B38:D38"/>
    <mergeCell ref="A6:H6"/>
    <mergeCell ref="B34:D34"/>
    <mergeCell ref="B37:D37"/>
    <mergeCell ref="I7:P7"/>
    <mergeCell ref="B49:D49"/>
    <mergeCell ref="I41:P41"/>
    <mergeCell ref="B40:D40"/>
    <mergeCell ref="B9:D9"/>
    <mergeCell ref="I32:P32"/>
    <mergeCell ref="I47:P47"/>
    <mergeCell ref="B30:D30"/>
    <mergeCell ref="I37:P37"/>
    <mergeCell ref="B33:D33"/>
    <mergeCell ref="A3:H3"/>
    <mergeCell ref="B36:D36"/>
    <mergeCell ref="I43:P43"/>
    <mergeCell ref="I3:P3"/>
    <mergeCell ref="B45:D45"/>
    <mergeCell ref="B41:D41"/>
    <mergeCell ref="A2:H2"/>
    <mergeCell ref="B32:D32"/>
    <mergeCell ref="B35:D35"/>
    <mergeCell ref="B50:D50"/>
    <mergeCell ref="I33:P33"/>
    <mergeCell ref="I42:P42"/>
    <mergeCell ref="B7:D7"/>
    <mergeCell ref="B47:D47"/>
    <mergeCell ref="I1:P1"/>
    <mergeCell ref="I8:P8"/>
    <mergeCell ref="A4:H4"/>
    <mergeCell ref="A27:D27"/>
    <mergeCell ref="I4:P4"/>
    <mergeCell ref="I35:P35"/>
    <mergeCell ref="A29:H29"/>
    <mergeCell ref="B31:D31"/>
    <mergeCell ref="I38:P38"/>
    <mergeCell ref="I44:P44"/>
    <mergeCell ref="I29:P29"/>
    <mergeCell ref="B46:D46"/>
    <mergeCell ref="I50:P50"/>
    <mergeCell ref="B43:D43"/>
    <mergeCell ref="I40:P40"/>
    <mergeCell ref="I9:P9"/>
    <mergeCell ref="I31:P31"/>
  </mergeCells>
  <dataValidations count="1">
    <dataValidation sqref="D12 D13 D14 D15 D16 D17 D18 D19 D20 D21 D22 D23 D24 D25 D26" showDropDown="0" showInputMessage="0" showErrorMessage="0" allowBlank="1" type="list">
      <formula1>"Terre,Pré,Vigne,Verger,Bois,Bâtiment,Autre"</formula1>
    </dataValidation>
  </dataValidations>
  <printOptions horizontalCentered="1"/>
  <pageMargins left="0.75" right="0.75" top="1" bottom="1" header="0.5" footer="0.5"/>
  <pageSetup orientation="landscape" paperSize="9" scale="80" pageOrder="overThenDown"/>
  <headerFooter>
    <oddHeader/>
    <oddFooter>&amp;LDomania - domania.exygen.fr&amp;RPage &amp;P / &amp;N</oddFooter>
    <evenHeader/>
    <evenFooter/>
    <firstHeader/>
    <firstFooter/>
  </headerFooter>
  <rowBreaks count="1" manualBreakCount="1">
    <brk id="27" min="0" max="16383" man="1"/>
  </rowBreaks>
  <colBreaks count="1" manualBreakCount="1">
    <brk id="8" min="0" max="16383" man="1"/>
  </colBreaks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2026-10-16T09:08:11Z</dcterms:created>
  <dcterms:modified xmlns:dcterms="http://purl.org/dc/terms/" xmlns:xsi="http://www.w3.org/2001/XMLSchema-instance" xsi:type="dcterms:W3CDTF">2026-10-16T09:08:11Z</dcterms:modified>
</cp:coreProperties>
</file>